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\OneDrive\Documentos\M2M SABER\Material de Treinamento\IFRS\instrumentos financeiros\Hedge accounting e contab de derivativos\"/>
    </mc:Choice>
  </mc:AlternateContent>
  <xr:revisionPtr revIDLastSave="95" documentId="6_{A93B8A6A-7D13-4F00-90E8-44007E82E989}" xr6:coauthVersionLast="36" xr6:coauthVersionMax="36" xr10:uidLastSave="{3825CD2A-46E4-463E-87D6-4262AD41BBAD}"/>
  <bookViews>
    <workbookView xWindow="0" yWindow="0" windowWidth="23040" windowHeight="9072" activeTab="2" xr2:uid="{946AF21E-513E-49CE-BF72-8804FC7B8865}"/>
  </bookViews>
  <sheets>
    <sheet name="VJ Inicial" sheetId="1" r:id="rId1"/>
    <sheet name="Accrual e VJ Swap USD" sheetId="2" r:id="rId2"/>
    <sheet name="Hedge FlCx Swap USD" sheetId="5" r:id="rId3"/>
    <sheet name="Efeito Hedge VJ" sheetId="6" r:id="rId4"/>
    <sheet name="Exemplo com DI1" sheetId="3" r:id="rId5"/>
  </sheets>
  <externalReferences>
    <externalReference r:id="rId6"/>
  </externalReference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" i="2" l="1"/>
  <c r="M34" i="3"/>
  <c r="M28" i="3"/>
  <c r="M37" i="3"/>
  <c r="M38" i="3"/>
  <c r="I39" i="3"/>
  <c r="E10" i="1"/>
  <c r="E9" i="1"/>
  <c r="H6" i="6"/>
  <c r="H8" i="6"/>
  <c r="D8" i="6"/>
  <c r="H22" i="6"/>
  <c r="H23" i="6"/>
  <c r="H13" i="6"/>
  <c r="H21" i="6"/>
  <c r="H12" i="6"/>
  <c r="H9" i="6"/>
  <c r="D13" i="6"/>
  <c r="D21" i="6"/>
  <c r="D20" i="6"/>
  <c r="D9" i="6"/>
  <c r="D12" i="6"/>
  <c r="D22" i="6"/>
  <c r="D6" i="2"/>
  <c r="L3" i="2"/>
  <c r="B3" i="2"/>
  <c r="H5" i="2"/>
  <c r="L4" i="2"/>
  <c r="K4" i="2"/>
  <c r="E9" i="2"/>
  <c r="B3" i="1"/>
  <c r="L9" i="1"/>
  <c r="M32" i="3"/>
  <c r="M27" i="3"/>
  <c r="B44" i="3"/>
  <c r="B43" i="3"/>
  <c r="B31" i="3"/>
  <c r="I27" i="3"/>
  <c r="E44" i="3"/>
  <c r="B45" i="3"/>
  <c r="E4" i="3"/>
  <c r="E27" i="3"/>
  <c r="E39" i="3"/>
  <c r="I26" i="3"/>
  <c r="I38" i="3"/>
  <c r="I25" i="3"/>
  <c r="I37" i="3"/>
  <c r="I42" i="3"/>
  <c r="E14" i="3"/>
  <c r="E26" i="3"/>
  <c r="E38" i="3"/>
  <c r="E40" i="3"/>
  <c r="B39" i="3"/>
  <c r="B40" i="3"/>
  <c r="I30" i="3"/>
  <c r="E34" i="3"/>
  <c r="E15" i="3"/>
  <c r="I14" i="3"/>
  <c r="I13" i="3"/>
  <c r="I18" i="3"/>
  <c r="E22" i="3"/>
  <c r="E28" i="3"/>
  <c r="E5" i="3"/>
  <c r="E16" i="3"/>
  <c r="B17" i="3"/>
  <c r="B18" i="3"/>
  <c r="E6" i="3"/>
  <c r="B27" i="3"/>
  <c r="B28" i="3"/>
  <c r="B7" i="3"/>
  <c r="B8" i="3"/>
  <c r="H20" i="6"/>
  <c r="D3" i="6"/>
  <c r="H3" i="6"/>
  <c r="B3" i="5"/>
  <c r="E9" i="5"/>
  <c r="H5" i="5"/>
  <c r="D6" i="5"/>
  <c r="L3" i="5"/>
  <c r="L4" i="5"/>
  <c r="L5" i="5"/>
  <c r="K5" i="5"/>
  <c r="K4" i="5"/>
  <c r="K3" i="5"/>
  <c r="K6" i="5"/>
  <c r="H20" i="5"/>
  <c r="C3" i="5"/>
  <c r="E10" i="5"/>
  <c r="H6" i="5"/>
  <c r="L8" i="5"/>
  <c r="K8" i="5"/>
  <c r="L9" i="5"/>
  <c r="K9" i="5"/>
  <c r="K10" i="5"/>
  <c r="H22" i="5"/>
  <c r="K21" i="5"/>
  <c r="H21" i="5"/>
  <c r="K30" i="5"/>
  <c r="H19" i="5"/>
  <c r="K29" i="5"/>
  <c r="K17" i="5"/>
  <c r="K28" i="5"/>
  <c r="H18" i="5"/>
  <c r="K27" i="5"/>
  <c r="K16" i="5"/>
  <c r="K26" i="5"/>
  <c r="K15" i="5"/>
  <c r="H15" i="5"/>
  <c r="L11" i="5"/>
  <c r="K11" i="5"/>
  <c r="D3" i="5"/>
  <c r="E3" i="5"/>
  <c r="L5" i="2"/>
  <c r="K5" i="2"/>
  <c r="K3" i="2"/>
  <c r="K6" i="2"/>
  <c r="C3" i="2"/>
  <c r="E10" i="2"/>
  <c r="H6" i="2"/>
  <c r="L8" i="2"/>
  <c r="K8" i="2"/>
  <c r="L9" i="2"/>
  <c r="K9" i="2"/>
  <c r="K10" i="2"/>
  <c r="L16" i="2"/>
  <c r="K11" i="2"/>
  <c r="D3" i="2"/>
  <c r="E3" i="2"/>
  <c r="L11" i="2"/>
  <c r="D3" i="1"/>
  <c r="D6" i="1"/>
  <c r="C3" i="1"/>
  <c r="L10" i="1"/>
  <c r="L11" i="1"/>
  <c r="E3" i="1"/>
</calcChain>
</file>

<file path=xl/sharedStrings.xml><?xml version="1.0" encoding="utf-8"?>
<sst xmlns="http://schemas.openxmlformats.org/spreadsheetml/2006/main" count="173" uniqueCount="80">
  <si>
    <t>Taxa de Câmbio (R$ / US$) :</t>
  </si>
  <si>
    <t>Captação (R$) :</t>
  </si>
  <si>
    <t>Cupom</t>
  </si>
  <si>
    <t>Swap - ponta passiva</t>
  </si>
  <si>
    <t>DC</t>
  </si>
  <si>
    <t>DU</t>
  </si>
  <si>
    <t>Swap - ponta ativa: VC +</t>
  </si>
  <si>
    <t>Valor Justo</t>
  </si>
  <si>
    <t>Fazer mensuração inicial, sabendo que, em 27/07/2015:</t>
  </si>
  <si>
    <t>Datas</t>
  </si>
  <si>
    <t>Pré para 748 du</t>
  </si>
  <si>
    <t>Cupom cambial para 1089 DC</t>
  </si>
  <si>
    <t>Valor Vcto (R$)</t>
  </si>
  <si>
    <t>Fluxo Empréstimo (US$)</t>
  </si>
  <si>
    <t>Dólar spot</t>
  </si>
  <si>
    <t>DC até vencimento</t>
  </si>
  <si>
    <t>DU até vencimento</t>
  </si>
  <si>
    <t xml:space="preserve">Fazer mensuração em  </t>
  </si>
  <si>
    <t>, sabendo que:</t>
  </si>
  <si>
    <t>Accrual</t>
  </si>
  <si>
    <t>Diferencial</t>
  </si>
  <si>
    <t>Caia</t>
  </si>
  <si>
    <t>Empréstimo</t>
  </si>
  <si>
    <t>Juros</t>
  </si>
  <si>
    <t>Variação cambial</t>
  </si>
  <si>
    <t>Swap</t>
  </si>
  <si>
    <t>Principal</t>
  </si>
  <si>
    <t>Variação Cambial</t>
  </si>
  <si>
    <t>MTM</t>
  </si>
  <si>
    <t>ATIVO</t>
  </si>
  <si>
    <t>PASSIVO</t>
  </si>
  <si>
    <t>PL</t>
  </si>
  <si>
    <t>ATIVA</t>
  </si>
  <si>
    <t>PASSIVA</t>
  </si>
  <si>
    <t>DRE</t>
  </si>
  <si>
    <t>Accrual juros Emp US$ (3%)</t>
  </si>
  <si>
    <t>Accrual juros Swap US$ (3%)</t>
  </si>
  <si>
    <t>Variação cambial Empr</t>
  </si>
  <si>
    <t>Variação cambial Swap</t>
  </si>
  <si>
    <t>Accrual juros Swap R$ (13,41%)</t>
  </si>
  <si>
    <t>MTM Swap</t>
  </si>
  <si>
    <t>AINDA EXISTE VOLATILIDADE NO PL!</t>
  </si>
  <si>
    <t>O QUE SOBROU NA DRE?</t>
  </si>
  <si>
    <t>Accrual juros</t>
  </si>
  <si>
    <t>Ponta Passiva</t>
  </si>
  <si>
    <t>Ponta Ativa</t>
  </si>
  <si>
    <t>Accrual Swap</t>
  </si>
  <si>
    <t>MTM adiciona volatilidade no resultado</t>
  </si>
  <si>
    <t>Carteira Empréstimos Pré (2%)</t>
  </si>
  <si>
    <t>Accrual Empréstimos Pré (2%)</t>
  </si>
  <si>
    <t>Accrual Pré</t>
  </si>
  <si>
    <t>Accrual CDI</t>
  </si>
  <si>
    <t>Na soma, teríamos o accrual do CDI</t>
  </si>
  <si>
    <t>MTM Empréstimo</t>
  </si>
  <si>
    <t>SEM HEDGE ACCOUNTING</t>
  </si>
  <si>
    <t>COM HEDGE ACCOUNTING</t>
  </si>
  <si>
    <t>Carregamento</t>
  </si>
  <si>
    <t>Empréstimo Pré (comprado em taxa pré)</t>
  </si>
  <si>
    <t>Passivo CDI (Vendido em taxa pós)</t>
  </si>
  <si>
    <t>Receita de juros (accrual)</t>
  </si>
  <si>
    <t>Ganho</t>
  </si>
  <si>
    <t>DI FUT (Comprado em taxa pós)</t>
  </si>
  <si>
    <t>AD Atual (B3)</t>
  </si>
  <si>
    <t>AD Anterior (B3)</t>
  </si>
  <si>
    <t>Vendido em PU</t>
  </si>
  <si>
    <t>Valor a receber DI FUT</t>
  </si>
  <si>
    <t>Ganhos derivativos</t>
  </si>
  <si>
    <t>Despesa de juros (accrual)</t>
  </si>
  <si>
    <t>Lucro</t>
  </si>
  <si>
    <t>Reservas de Lucros</t>
  </si>
  <si>
    <t>ORA</t>
  </si>
  <si>
    <t>Ganhos derivativos (Accrual)</t>
  </si>
  <si>
    <t>Outros resultados abrangentes</t>
  </si>
  <si>
    <t>DESCASAMENTO DE TAXAS, SEM HEDGE</t>
  </si>
  <si>
    <t>DESCASAMENTO DE TAXAS, PROTEGIDO POR DI FUT, SEM HEDGE ACCOUNTING</t>
  </si>
  <si>
    <t>DESCASAMENTO DE TAXAS, PROTEGIDO POR DI FUT, COM HEDGE ACCOUNTING</t>
  </si>
  <si>
    <t>Segregação das Parcelas</t>
  </si>
  <si>
    <t>Cálculos do DI FUT</t>
  </si>
  <si>
    <t>Pré para 639 du</t>
  </si>
  <si>
    <t>Cupom cambial para 932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</si>
</sst>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_ ;\-#,##0\ "/>
    <numFmt numFmtId="167" formatCode="0.00000%"/>
    <numFmt numFmtId="168" formatCode="0.00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10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43" fontId="1" fillId="3" borderId="1" xfId="1" applyFont="1" applyFill="1" applyBorder="1"/>
    <xf numFmtId="14" fontId="4" fillId="3" borderId="1" xfId="1" applyNumberFormat="1" applyFont="1" applyFill="1" applyBorder="1" applyAlignment="1">
      <alignment horizontal="center"/>
    </xf>
    <xf numFmtId="0" fontId="1" fillId="0" borderId="0" xfId="0" applyFont="1"/>
    <xf numFmtId="164" fontId="4" fillId="3" borderId="1" xfId="0" applyNumberFormat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10" fontId="4" fillId="3" borderId="1" xfId="0" applyNumberFormat="1" applyFont="1" applyFill="1" applyBorder="1" applyAlignment="1">
      <alignment horizontal="right"/>
    </xf>
    <xf numFmtId="43" fontId="3" fillId="4" borderId="1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/>
    </xf>
    <xf numFmtId="0" fontId="0" fillId="4" borderId="0" xfId="0" applyFill="1"/>
    <xf numFmtId="10" fontId="0" fillId="4" borderId="0" xfId="0" applyNumberFormat="1" applyFill="1"/>
    <xf numFmtId="165" fontId="0" fillId="4" borderId="0" xfId="1" applyNumberFormat="1" applyFont="1" applyFill="1"/>
    <xf numFmtId="165" fontId="0" fillId="4" borderId="2" xfId="0" applyNumberFormat="1" applyFill="1" applyBorder="1"/>
    <xf numFmtId="0" fontId="1" fillId="4" borderId="0" xfId="0" applyFont="1" applyFill="1"/>
    <xf numFmtId="43" fontId="0" fillId="4" borderId="0" xfId="1" applyFont="1" applyFill="1"/>
    <xf numFmtId="14" fontId="2" fillId="4" borderId="0" xfId="0" applyNumberFormat="1" applyFont="1" applyFill="1"/>
    <xf numFmtId="0" fontId="2" fillId="4" borderId="0" xfId="0" quotePrefix="1" applyFont="1" applyFill="1"/>
    <xf numFmtId="0" fontId="0" fillId="4" borderId="0" xfId="0" applyFill="1" applyAlignment="1">
      <alignment horizontal="right"/>
    </xf>
    <xf numFmtId="0" fontId="2" fillId="4" borderId="0" xfId="0" applyFont="1" applyFill="1" applyAlignment="1">
      <alignment horizontal="right"/>
    </xf>
    <xf numFmtId="165" fontId="2" fillId="4" borderId="2" xfId="0" applyNumberFormat="1" applyFont="1" applyFill="1" applyBorder="1"/>
    <xf numFmtId="0" fontId="2" fillId="4" borderId="0" xfId="0" applyFont="1" applyFill="1"/>
    <xf numFmtId="165" fontId="0" fillId="4" borderId="0" xfId="0" applyNumberFormat="1" applyFill="1"/>
    <xf numFmtId="0" fontId="2" fillId="4" borderId="3" xfId="0" applyFont="1" applyFill="1" applyBorder="1"/>
    <xf numFmtId="0" fontId="0" fillId="4" borderId="5" xfId="0" applyFill="1" applyBorder="1"/>
    <xf numFmtId="0" fontId="0" fillId="4" borderId="7" xfId="0" applyFill="1" applyBorder="1"/>
    <xf numFmtId="165" fontId="2" fillId="4" borderId="4" xfId="1" applyNumberFormat="1" applyFont="1" applyFill="1" applyBorder="1"/>
    <xf numFmtId="165" fontId="2" fillId="4" borderId="3" xfId="1" applyNumberFormat="1" applyFont="1" applyFill="1" applyBorder="1"/>
    <xf numFmtId="165" fontId="0" fillId="4" borderId="6" xfId="1" applyNumberFormat="1" applyFont="1" applyFill="1" applyBorder="1"/>
    <xf numFmtId="165" fontId="0" fillId="4" borderId="5" xfId="1" applyNumberFormat="1" applyFont="1" applyFill="1" applyBorder="1"/>
    <xf numFmtId="165" fontId="0" fillId="4" borderId="5" xfId="1" applyNumberFormat="1" applyFont="1" applyFill="1" applyBorder="1" applyAlignment="1">
      <alignment horizontal="left" indent="2"/>
    </xf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4" xfId="1" applyNumberFormat="1" applyFont="1" applyFill="1" applyBorder="1"/>
    <xf numFmtId="165" fontId="2" fillId="4" borderId="0" xfId="1" applyNumberFormat="1" applyFont="1" applyFill="1"/>
    <xf numFmtId="0" fontId="0" fillId="4" borderId="9" xfId="0" applyFill="1" applyBorder="1"/>
    <xf numFmtId="165" fontId="0" fillId="4" borderId="10" xfId="1" applyNumberFormat="1" applyFont="1" applyFill="1" applyBorder="1"/>
    <xf numFmtId="0" fontId="0" fillId="4" borderId="9" xfId="0" applyFill="1" applyBorder="1" applyAlignment="1">
      <alignment horizontal="left" indent="2"/>
    </xf>
    <xf numFmtId="0" fontId="0" fillId="4" borderId="5" xfId="0" applyFill="1" applyBorder="1" applyAlignment="1">
      <alignment horizontal="left" indent="5"/>
    </xf>
    <xf numFmtId="0" fontId="0" fillId="4" borderId="7" xfId="0" applyFill="1" applyBorder="1" applyAlignment="1">
      <alignment horizontal="left" indent="5"/>
    </xf>
    <xf numFmtId="0" fontId="0" fillId="4" borderId="5" xfId="0" applyFill="1" applyBorder="1" applyAlignment="1">
      <alignment horizontal="left" indent="3"/>
    </xf>
    <xf numFmtId="165" fontId="0" fillId="4" borderId="10" xfId="0" applyNumberFormat="1" applyFill="1" applyBorder="1"/>
    <xf numFmtId="0" fontId="5" fillId="4" borderId="7" xfId="0" applyFont="1" applyFill="1" applyBorder="1" applyAlignment="1">
      <alignment horizontal="left" indent="3"/>
    </xf>
    <xf numFmtId="165" fontId="5" fillId="4" borderId="8" xfId="1" applyNumberFormat="1" applyFont="1" applyFill="1" applyBorder="1"/>
    <xf numFmtId="0" fontId="4" fillId="4" borderId="7" xfId="0" applyFont="1" applyFill="1" applyBorder="1" applyAlignment="1">
      <alignment horizontal="left" indent="3"/>
    </xf>
    <xf numFmtId="165" fontId="4" fillId="4" borderId="8" xfId="1" applyNumberFormat="1" applyFont="1" applyFill="1" applyBorder="1"/>
    <xf numFmtId="0" fontId="6" fillId="4" borderId="0" xfId="0" applyFont="1" applyFill="1"/>
    <xf numFmtId="165" fontId="6" fillId="4" borderId="0" xfId="1" applyNumberFormat="1" applyFont="1" applyFill="1"/>
    <xf numFmtId="0" fontId="2" fillId="4" borderId="11" xfId="0" applyFont="1" applyFill="1" applyBorder="1"/>
    <xf numFmtId="165" fontId="0" fillId="4" borderId="11" xfId="1" applyNumberFormat="1" applyFont="1" applyFill="1" applyBorder="1"/>
    <xf numFmtId="165" fontId="0" fillId="4" borderId="2" xfId="1" applyNumberFormat="1" applyFont="1" applyFill="1" applyBorder="1"/>
    <xf numFmtId="165" fontId="5" fillId="4" borderId="2" xfId="1" applyNumberFormat="1" applyFont="1" applyFill="1" applyBorder="1"/>
    <xf numFmtId="165" fontId="0" fillId="4" borderId="3" xfId="1" applyNumberFormat="1" applyFont="1" applyFill="1" applyBorder="1"/>
    <xf numFmtId="165" fontId="0" fillId="4" borderId="12" xfId="1" applyNumberFormat="1" applyFont="1" applyFill="1" applyBorder="1"/>
    <xf numFmtId="165" fontId="0" fillId="4" borderId="0" xfId="1" applyNumberFormat="1" applyFont="1" applyFill="1" applyBorder="1"/>
    <xf numFmtId="165" fontId="5" fillId="4" borderId="0" xfId="1" applyNumberFormat="1" applyFont="1" applyFill="1" applyBorder="1"/>
    <xf numFmtId="165" fontId="4" fillId="4" borderId="0" xfId="1" applyNumberFormat="1" applyFont="1" applyFill="1" applyBorder="1"/>
    <xf numFmtId="165" fontId="4" fillId="4" borderId="2" xfId="1" applyNumberFormat="1" applyFont="1" applyFill="1" applyBorder="1"/>
    <xf numFmtId="165" fontId="4" fillId="4" borderId="3" xfId="1" applyNumberFormat="1" applyFont="1" applyFill="1" applyBorder="1"/>
    <xf numFmtId="165" fontId="4" fillId="4" borderId="12" xfId="1" applyNumberFormat="1" applyFont="1" applyFill="1" applyBorder="1"/>
    <xf numFmtId="165" fontId="4" fillId="4" borderId="4" xfId="1" applyNumberFormat="1" applyFont="1" applyFill="1" applyBorder="1"/>
    <xf numFmtId="165" fontId="4" fillId="4" borderId="0" xfId="1" applyNumberFormat="1" applyFont="1" applyFill="1"/>
    <xf numFmtId="165" fontId="3" fillId="4" borderId="11" xfId="1" applyNumberFormat="1" applyFont="1" applyFill="1" applyBorder="1"/>
    <xf numFmtId="165" fontId="4" fillId="4" borderId="5" xfId="1" applyNumberFormat="1" applyFont="1" applyFill="1" applyBorder="1"/>
    <xf numFmtId="165" fontId="4" fillId="4" borderId="6" xfId="1" applyNumberFormat="1" applyFont="1" applyFill="1" applyBorder="1"/>
    <xf numFmtId="165" fontId="4" fillId="4" borderId="7" xfId="1" applyNumberFormat="1" applyFont="1" applyFill="1" applyBorder="1"/>
    <xf numFmtId="165" fontId="4" fillId="4" borderId="11" xfId="1" applyNumberFormat="1" applyFont="1" applyFill="1" applyBorder="1"/>
    <xf numFmtId="166" fontId="4" fillId="4" borderId="11" xfId="1" applyNumberFormat="1" applyFont="1" applyFill="1" applyBorder="1"/>
    <xf numFmtId="166" fontId="4" fillId="4" borderId="0" xfId="1" applyNumberFormat="1" applyFont="1" applyFill="1"/>
    <xf numFmtId="167" fontId="0" fillId="4" borderId="0" xfId="0" applyNumberFormat="1" applyFill="1"/>
    <xf numFmtId="168" fontId="0" fillId="4" borderId="0" xfId="0" applyNumberFormat="1" applyFill="1"/>
    <xf numFmtId="0" fontId="2" fillId="4" borderId="0" xfId="0" applyFont="1" applyFill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2" fillId="4" borderId="0" xfId="0" applyFont="1" applyFill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4" borderId="0" xfId="0" applyFont="1" applyFill="1" applyAlignment="1">
      <alignment horizontal="center"/>
    </xf>
    <xf numFmtId="165" fontId="2" fillId="4" borderId="11" xfId="1" applyNumberFormat="1" applyFont="1" applyFill="1" applyBorder="1" applyAlignment="1">
      <alignment horizontal="center"/>
    </xf>
    <xf numFmtId="165" fontId="2" fillId="4" borderId="0" xfId="1" applyNumberFormat="1" applyFont="1" applyFill="1" applyBorder="1" applyAlignment="1">
      <alignment horizontal="center"/>
    </xf>
    <xf numFmtId="165" fontId="2" fillId="4" borderId="12" xfId="1" applyNumberFormat="1" applyFont="1" applyFill="1" applyBorder="1" applyAlignment="1">
      <alignment horizontal="center"/>
    </xf>
    <xf numFmtId="165" fontId="2" fillId="4" borderId="0" xfId="1" applyNumberFormat="1" applyFont="1" applyFill="1" applyBorder="1"/>
    <xf numFmtId="165" fontId="0" fillId="4" borderId="0" xfId="1" applyNumberFormat="1" applyFont="1" applyFill="1" applyBorder="1" applyAlignment="1">
      <alignment horizontal="left" indent="2"/>
    </xf>
    <xf numFmtId="0" fontId="0" fillId="5" borderId="0" xfId="0" applyFill="1" applyAlignment="1">
      <alignment horizontal="right"/>
    </xf>
    <xf numFmtId="165" fontId="0" fillId="5" borderId="0" xfId="1" applyNumberFormat="1" applyFont="1" applyFill="1"/>
    <xf numFmtId="0" fontId="2" fillId="5" borderId="0" xfId="0" applyFont="1" applyFill="1" applyAlignment="1">
      <alignment horizontal="center" vertical="center" textRotation="90"/>
    </xf>
    <xf numFmtId="0" fontId="0" fillId="6" borderId="0" xfId="0" applyFill="1" applyAlignment="1">
      <alignment horizontal="right"/>
    </xf>
    <xf numFmtId="165" fontId="0" fillId="6" borderId="0" xfId="1" applyNumberFormat="1" applyFont="1" applyFill="1"/>
    <xf numFmtId="0" fontId="2" fillId="6" borderId="0" xfId="0" applyFont="1" applyFill="1" applyAlignment="1">
      <alignment horizontal="center" textRotation="9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fe\OneDrive\Documentos\M2M%20SABER\Clientes%20e%20Parceiros\Yamaha\2016\Projeto%20hedge%20accounting\C&#225;lculos%20V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"/>
      <sheetName val="45"/>
      <sheetName val="46"/>
      <sheetName val="47"/>
      <sheetName val="48"/>
      <sheetName val="50"/>
      <sheetName val="51"/>
      <sheetName val="52"/>
      <sheetName val="53"/>
      <sheetName val="57"/>
      <sheetName val="Parte 8_Nova Oper._CFH"/>
      <sheetName val="58_Apenas Repasse"/>
      <sheetName val="59_Apenas Repasse"/>
      <sheetName val="49"/>
      <sheetName val="54"/>
      <sheetName val="59"/>
      <sheetName val="USD BC"/>
      <sheetName val="Feriados"/>
      <sheetName val="Teste EY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1C65-38F8-4AD6-B5EC-3B32F6B89DC8}">
  <dimension ref="A1:L14"/>
  <sheetViews>
    <sheetView workbookViewId="0"/>
  </sheetViews>
  <sheetFormatPr defaultRowHeight="14.4" x14ac:dyDescent="0.3"/>
  <cols>
    <col min="1" max="1" width="15.109375" style="17" customWidth="1"/>
    <col min="2" max="2" width="5.5546875" style="17" bestFit="1" customWidth="1"/>
    <col min="3" max="3" width="4.6640625" style="17" bestFit="1" customWidth="1"/>
    <col min="4" max="4" width="16.5546875" style="17" customWidth="1"/>
    <col min="5" max="5" width="14" style="17" bestFit="1" customWidth="1"/>
    <col min="6" max="6" width="4.77734375" style="17" customWidth="1"/>
    <col min="7" max="7" width="25.21875" style="17" customWidth="1"/>
    <col min="8" max="8" width="9.88671875" style="17" bestFit="1" customWidth="1"/>
    <col min="9" max="9" width="8.88671875" style="17"/>
    <col min="10" max="10" width="11.44140625" style="17" bestFit="1" customWidth="1"/>
    <col min="11" max="11" width="11.44140625" style="17" customWidth="1"/>
    <col min="12" max="12" width="11.44140625" style="17" bestFit="1" customWidth="1"/>
    <col min="13" max="16384" width="8.88671875" style="17"/>
  </cols>
  <sheetData>
    <row r="1" spans="1:12" ht="28.8" x14ac:dyDescent="0.3">
      <c r="A1" s="1" t="s">
        <v>9</v>
      </c>
      <c r="B1" s="2" t="s">
        <v>4</v>
      </c>
      <c r="C1" s="2" t="s">
        <v>5</v>
      </c>
      <c r="D1" s="3" t="s">
        <v>13</v>
      </c>
      <c r="E1" s="14" t="s">
        <v>12</v>
      </c>
      <c r="F1" s="15"/>
      <c r="G1" s="16" t="s">
        <v>8</v>
      </c>
      <c r="L1" s="14" t="s">
        <v>7</v>
      </c>
    </row>
    <row r="2" spans="1:12" x14ac:dyDescent="0.3">
      <c r="A2" s="4">
        <v>42212</v>
      </c>
      <c r="B2" s="5"/>
      <c r="C2" s="5"/>
      <c r="D2" s="6">
        <v>5000000</v>
      </c>
      <c r="G2" s="17" t="s">
        <v>11</v>
      </c>
      <c r="H2" s="77">
        <v>3.9423451663811192E-2</v>
      </c>
      <c r="L2" s="19"/>
    </row>
    <row r="3" spans="1:12" x14ac:dyDescent="0.3">
      <c r="A3" s="9">
        <v>43301</v>
      </c>
      <c r="B3" s="7">
        <f>A3-$A$2</f>
        <v>1089</v>
      </c>
      <c r="C3" s="7">
        <f>NETWORKDAYS($A$2,A3,[1]Feriados!$A$170:$A$937)-1</f>
        <v>748</v>
      </c>
      <c r="D3" s="8">
        <f>-$D$2*(1+$D$7*(B3-B2)/360)</f>
        <v>-5453750.0000000009</v>
      </c>
      <c r="E3" s="19">
        <f>D3*D5</f>
        <v>-17937383.750000004</v>
      </c>
      <c r="G3" s="17" t="s">
        <v>10</v>
      </c>
      <c r="H3" s="76">
        <v>0.14399999999999999</v>
      </c>
      <c r="L3" s="19"/>
    </row>
    <row r="4" spans="1:12" x14ac:dyDescent="0.3">
      <c r="A4" s="21"/>
      <c r="B4" s="21"/>
      <c r="C4" s="21"/>
      <c r="D4" s="21"/>
      <c r="L4" s="19"/>
    </row>
    <row r="5" spans="1:12" x14ac:dyDescent="0.3">
      <c r="A5" s="16" t="s">
        <v>0</v>
      </c>
      <c r="B5" s="21"/>
      <c r="C5" s="21"/>
      <c r="D5" s="11">
        <v>3.2890000000000001</v>
      </c>
      <c r="L5" s="19"/>
    </row>
    <row r="6" spans="1:12" x14ac:dyDescent="0.3">
      <c r="A6" s="16" t="s">
        <v>1</v>
      </c>
      <c r="B6" s="21"/>
      <c r="C6" s="21"/>
      <c r="D6" s="12">
        <f>D5*D2</f>
        <v>16445000</v>
      </c>
      <c r="L6" s="19"/>
    </row>
    <row r="7" spans="1:12" x14ac:dyDescent="0.3">
      <c r="A7" s="16" t="s">
        <v>2</v>
      </c>
      <c r="B7" s="21"/>
      <c r="C7" s="21"/>
      <c r="D7" s="13">
        <v>0.03</v>
      </c>
      <c r="L7" s="19"/>
    </row>
    <row r="8" spans="1:12" x14ac:dyDescent="0.3">
      <c r="A8" s="21"/>
      <c r="B8" s="21"/>
      <c r="C8" s="21"/>
      <c r="L8" s="19"/>
    </row>
    <row r="9" spans="1:12" x14ac:dyDescent="0.3">
      <c r="A9" s="16" t="s">
        <v>6</v>
      </c>
      <c r="B9" s="21"/>
      <c r="C9" s="21"/>
      <c r="D9" s="13">
        <v>0.03</v>
      </c>
      <c r="E9" s="19">
        <f>D2*(1+D7*B3/360)*D5</f>
        <v>17937383.750000004</v>
      </c>
      <c r="F9" s="19"/>
      <c r="L9" s="19">
        <f>E9/(1+H2*(B3/360))</f>
        <v>16026168.000000045</v>
      </c>
    </row>
    <row r="10" spans="1:12" x14ac:dyDescent="0.3">
      <c r="A10" s="16" t="s">
        <v>3</v>
      </c>
      <c r="B10" s="21"/>
      <c r="C10" s="21"/>
      <c r="D10" s="13">
        <v>0.1341</v>
      </c>
      <c r="E10" s="19">
        <f>D6*(1+D10)^(C3/252)</f>
        <v>23892025.282107268</v>
      </c>
      <c r="F10" s="19"/>
      <c r="L10" s="19">
        <f>E10/(1+H3)^(C3/252)</f>
        <v>16026167.838330911</v>
      </c>
    </row>
    <row r="11" spans="1:12" ht="15" thickBot="1" x14ac:dyDescent="0.35">
      <c r="L11" s="20">
        <f>L9-L10</f>
        <v>0.16166913323104382</v>
      </c>
    </row>
    <row r="12" spans="1:12" ht="15" thickTop="1" x14ac:dyDescent="0.3"/>
    <row r="14" spans="1:12" x14ac:dyDescent="0.3">
      <c r="D14" s="2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FC16-290C-4DFA-A0F4-B793A3E2A627}">
  <dimension ref="A1:M16"/>
  <sheetViews>
    <sheetView workbookViewId="0">
      <selection activeCell="G2" sqref="G2:G3"/>
    </sheetView>
  </sheetViews>
  <sheetFormatPr defaultRowHeight="14.4" x14ac:dyDescent="0.3"/>
  <cols>
    <col min="1" max="1" width="15.109375" style="17" customWidth="1"/>
    <col min="2" max="2" width="5.5546875" style="17" bestFit="1" customWidth="1"/>
    <col min="3" max="3" width="4.6640625" style="17" bestFit="1" customWidth="1"/>
    <col min="4" max="4" width="16.5546875" style="17" customWidth="1"/>
    <col min="5" max="5" width="14" style="17" bestFit="1" customWidth="1"/>
    <col min="6" max="6" width="4.77734375" style="17" customWidth="1"/>
    <col min="7" max="7" width="25.77734375" style="17" customWidth="1"/>
    <col min="8" max="8" width="14" style="17" bestFit="1" customWidth="1"/>
    <col min="9" max="9" width="2.6640625" style="17" customWidth="1"/>
    <col min="10" max="10" width="15.33203125" style="17" bestFit="1" customWidth="1"/>
    <col min="11" max="12" width="14.109375" style="17" customWidth="1"/>
    <col min="13" max="13" width="3.5546875" style="17" bestFit="1" customWidth="1"/>
    <col min="14" max="16384" width="8.88671875" style="17"/>
  </cols>
  <sheetData>
    <row r="1" spans="1:13" ht="28.8" x14ac:dyDescent="0.3">
      <c r="A1" s="1" t="s">
        <v>9</v>
      </c>
      <c r="B1" s="2" t="s">
        <v>4</v>
      </c>
      <c r="C1" s="2" t="s">
        <v>5</v>
      </c>
      <c r="D1" s="3" t="s">
        <v>13</v>
      </c>
      <c r="E1" s="14" t="s">
        <v>12</v>
      </c>
      <c r="F1" s="15"/>
      <c r="G1" s="16" t="s">
        <v>17</v>
      </c>
      <c r="H1" s="23">
        <v>42369</v>
      </c>
      <c r="I1" s="24" t="s">
        <v>18</v>
      </c>
      <c r="K1" s="14" t="s">
        <v>7</v>
      </c>
      <c r="L1" s="14" t="s">
        <v>19</v>
      </c>
    </row>
    <row r="2" spans="1:13" x14ac:dyDescent="0.3">
      <c r="A2" s="4">
        <v>42212</v>
      </c>
      <c r="B2" s="5"/>
      <c r="C2" s="5"/>
      <c r="D2" s="6">
        <v>5000000</v>
      </c>
      <c r="G2" s="17" t="s">
        <v>79</v>
      </c>
      <c r="H2" s="18">
        <v>2.7699999999999999E-2</v>
      </c>
      <c r="K2" s="19"/>
      <c r="L2" s="19"/>
    </row>
    <row r="3" spans="1:13" x14ac:dyDescent="0.3">
      <c r="A3" s="9">
        <v>43301</v>
      </c>
      <c r="B3" s="7">
        <f>A3-$A$2</f>
        <v>1089</v>
      </c>
      <c r="C3" s="7">
        <f>NETWORKDAYS($A$2,A3,[1]Feriados!$A$170:$A$937)-1</f>
        <v>748</v>
      </c>
      <c r="D3" s="8">
        <f>-$D$2*(1+$D$7*(B3-B2)/360)</f>
        <v>-5453750.0000000009</v>
      </c>
      <c r="E3" s="19">
        <f>D3*D5</f>
        <v>-17937383.750000004</v>
      </c>
      <c r="G3" s="17" t="s">
        <v>78</v>
      </c>
      <c r="H3" s="18">
        <v>0.1472</v>
      </c>
      <c r="J3" s="88" t="s">
        <v>26</v>
      </c>
      <c r="K3" s="89">
        <f>L3</f>
        <v>16445000</v>
      </c>
      <c r="L3" s="89">
        <f>D6</f>
        <v>16445000</v>
      </c>
      <c r="M3" s="90" t="s">
        <v>32</v>
      </c>
    </row>
    <row r="4" spans="1:13" x14ac:dyDescent="0.3">
      <c r="A4" s="21"/>
      <c r="B4" s="21"/>
      <c r="C4" s="21"/>
      <c r="D4" s="10"/>
      <c r="G4" s="17" t="s">
        <v>14</v>
      </c>
      <c r="H4" s="17">
        <v>3.9651999999999998</v>
      </c>
      <c r="J4" s="88" t="s">
        <v>23</v>
      </c>
      <c r="K4" s="89">
        <f>L4</f>
        <v>215155.41666666605</v>
      </c>
      <c r="L4" s="89">
        <f>L3*(1+D7*(B3-H5)/360)-L3</f>
        <v>215155.41666666605</v>
      </c>
      <c r="M4" s="90"/>
    </row>
    <row r="5" spans="1:13" x14ac:dyDescent="0.3">
      <c r="A5" s="16" t="s">
        <v>0</v>
      </c>
      <c r="B5" s="21"/>
      <c r="C5" s="21"/>
      <c r="D5" s="11">
        <v>3.2890000000000001</v>
      </c>
      <c r="G5" s="17" t="s">
        <v>15</v>
      </c>
      <c r="H5" s="19">
        <f>A3-H1</f>
        <v>932</v>
      </c>
      <c r="J5" s="88" t="s">
        <v>27</v>
      </c>
      <c r="K5" s="89">
        <f>L5</f>
        <v>3425234.75</v>
      </c>
      <c r="L5" s="89">
        <f>L3*(1+D7*(B3-H5)/360)/D5*H4-L4-L3</f>
        <v>3425234.75</v>
      </c>
      <c r="M5" s="90"/>
    </row>
    <row r="6" spans="1:13" x14ac:dyDescent="0.3">
      <c r="A6" s="16" t="s">
        <v>1</v>
      </c>
      <c r="B6" s="21"/>
      <c r="C6" s="21"/>
      <c r="D6" s="12">
        <f>D5*D2</f>
        <v>16445000</v>
      </c>
      <c r="G6" s="17" t="s">
        <v>16</v>
      </c>
      <c r="H6" s="19">
        <f>NETWORKDAYS($H$1,A3,[1]Feriados!$A$170:$A$937)-1</f>
        <v>639</v>
      </c>
      <c r="J6" s="88" t="s">
        <v>28</v>
      </c>
      <c r="K6" s="89">
        <f>E9/(1+H2*(H5/360))-K5-K4-K3</f>
        <v>92796.711858978495</v>
      </c>
      <c r="L6" s="89"/>
      <c r="M6" s="90"/>
    </row>
    <row r="7" spans="1:13" x14ac:dyDescent="0.3">
      <c r="A7" s="16" t="s">
        <v>2</v>
      </c>
      <c r="B7" s="21"/>
      <c r="C7" s="21"/>
      <c r="D7" s="13">
        <v>0.03</v>
      </c>
    </row>
    <row r="8" spans="1:13" x14ac:dyDescent="0.3">
      <c r="A8" s="21"/>
      <c r="B8" s="21"/>
      <c r="C8" s="21"/>
      <c r="H8" s="29"/>
      <c r="J8" s="91" t="s">
        <v>26</v>
      </c>
      <c r="K8" s="92">
        <f>L8</f>
        <v>16445000</v>
      </c>
      <c r="L8" s="92">
        <f>D6</f>
        <v>16445000</v>
      </c>
      <c r="M8" s="93" t="s">
        <v>33</v>
      </c>
    </row>
    <row r="9" spans="1:13" x14ac:dyDescent="0.3">
      <c r="A9" s="16" t="s">
        <v>6</v>
      </c>
      <c r="B9" s="21"/>
      <c r="C9" s="21"/>
      <c r="D9" s="13">
        <v>0.03</v>
      </c>
      <c r="E9" s="19">
        <f>D2*(1+D7*B3/360)*H4</f>
        <v>21625209.500000004</v>
      </c>
      <c r="F9" s="19"/>
      <c r="J9" s="91" t="s">
        <v>23</v>
      </c>
      <c r="K9" s="92">
        <f>L9</f>
        <v>919918.74960335344</v>
      </c>
      <c r="L9" s="92">
        <f>D6*(1+D10)^((C3-H6)/252)-D6</f>
        <v>919918.74960335344</v>
      </c>
      <c r="M9" s="93"/>
    </row>
    <row r="10" spans="1:13" x14ac:dyDescent="0.3">
      <c r="A10" s="16" t="s">
        <v>3</v>
      </c>
      <c r="B10" s="21"/>
      <c r="C10" s="21"/>
      <c r="D10" s="13">
        <v>0.1341</v>
      </c>
      <c r="E10" s="19">
        <f>D6*(1+D10)^(C3/252)</f>
        <v>23892025.282107268</v>
      </c>
      <c r="F10" s="19"/>
      <c r="J10" s="91" t="s">
        <v>28</v>
      </c>
      <c r="K10" s="92">
        <f>E10/(1+H3)^(H6/252)-K8-K9</f>
        <v>-498411.76091912016</v>
      </c>
      <c r="L10" s="92"/>
      <c r="M10" s="93"/>
    </row>
    <row r="11" spans="1:13" ht="15" thickBot="1" x14ac:dyDescent="0.35">
      <c r="J11" s="26" t="s">
        <v>20</v>
      </c>
      <c r="K11" s="27">
        <f>K3+K4+K5+K6-K8-K9-K10</f>
        <v>3311679.8898414113</v>
      </c>
      <c r="L11" s="27">
        <f>L3+L4+L5-L8-L9-L10+L6</f>
        <v>2720471.4170633107</v>
      </c>
    </row>
    <row r="12" spans="1:13" ht="15" thickTop="1" x14ac:dyDescent="0.3"/>
    <row r="14" spans="1:13" x14ac:dyDescent="0.3">
      <c r="K14" s="82" t="s">
        <v>76</v>
      </c>
      <c r="L14" s="82"/>
    </row>
    <row r="15" spans="1:13" x14ac:dyDescent="0.3">
      <c r="K15" s="17" t="s">
        <v>19</v>
      </c>
      <c r="L15" s="29">
        <f>K4+K5-K9</f>
        <v>2720471.4170633126</v>
      </c>
    </row>
    <row r="16" spans="1:13" x14ac:dyDescent="0.3">
      <c r="K16" s="17" t="s">
        <v>28</v>
      </c>
      <c r="L16" s="29">
        <f>K6-K10</f>
        <v>591208.47277809866</v>
      </c>
    </row>
  </sheetData>
  <mergeCells count="3">
    <mergeCell ref="M8:M10"/>
    <mergeCell ref="M3:M6"/>
    <mergeCell ref="K14:L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CCDE-35FF-4090-80AE-C1FF99E91691}">
  <dimension ref="A1:M46"/>
  <sheetViews>
    <sheetView tabSelected="1" workbookViewId="0">
      <selection activeCell="G1" sqref="G1:H6"/>
    </sheetView>
  </sheetViews>
  <sheetFormatPr defaultRowHeight="14.4" x14ac:dyDescent="0.3"/>
  <cols>
    <col min="1" max="1" width="15.109375" style="17" customWidth="1"/>
    <col min="2" max="2" width="5.5546875" style="17" bestFit="1" customWidth="1"/>
    <col min="3" max="3" width="4.6640625" style="17" bestFit="1" customWidth="1"/>
    <col min="4" max="4" width="16.5546875" style="17" customWidth="1"/>
    <col min="5" max="5" width="14" style="17" bestFit="1" customWidth="1"/>
    <col min="6" max="6" width="4.77734375" style="17" customWidth="1"/>
    <col min="7" max="7" width="25.77734375" style="17" customWidth="1"/>
    <col min="8" max="8" width="14" style="17" bestFit="1" customWidth="1"/>
    <col min="9" max="9" width="2.6640625" style="17" customWidth="1"/>
    <col min="10" max="10" width="28" style="17" bestFit="1" customWidth="1"/>
    <col min="11" max="12" width="14.109375" style="17" customWidth="1"/>
    <col min="13" max="13" width="3.5546875" style="17" bestFit="1" customWidth="1"/>
    <col min="14" max="16384" width="8.88671875" style="17"/>
  </cols>
  <sheetData>
    <row r="1" spans="1:13" ht="28.8" x14ac:dyDescent="0.3">
      <c r="A1" s="1" t="s">
        <v>9</v>
      </c>
      <c r="B1" s="2" t="s">
        <v>4</v>
      </c>
      <c r="C1" s="2" t="s">
        <v>5</v>
      </c>
      <c r="D1" s="3" t="s">
        <v>13</v>
      </c>
      <c r="E1" s="14" t="s">
        <v>12</v>
      </c>
      <c r="F1" s="15"/>
      <c r="G1" s="16" t="s">
        <v>17</v>
      </c>
      <c r="H1" s="23">
        <v>42369</v>
      </c>
      <c r="I1" s="24" t="s">
        <v>18</v>
      </c>
      <c r="K1" s="14" t="s">
        <v>7</v>
      </c>
      <c r="L1" s="14" t="s">
        <v>19</v>
      </c>
    </row>
    <row r="2" spans="1:13" x14ac:dyDescent="0.3">
      <c r="A2" s="4">
        <v>42212</v>
      </c>
      <c r="B2" s="5"/>
      <c r="C2" s="5"/>
      <c r="D2" s="6">
        <v>5000000</v>
      </c>
      <c r="G2" s="17" t="s">
        <v>79</v>
      </c>
      <c r="H2" s="18">
        <v>2.7699999999999999E-2</v>
      </c>
      <c r="K2" s="19"/>
      <c r="L2" s="19"/>
    </row>
    <row r="3" spans="1:13" x14ac:dyDescent="0.3">
      <c r="A3" s="9">
        <v>43301</v>
      </c>
      <c r="B3" s="7">
        <f>A3-$A$2</f>
        <v>1089</v>
      </c>
      <c r="C3" s="7">
        <f>NETWORKDAYS($A$2,A3,[1]Feriados!$A$170:$A$937)-1</f>
        <v>748</v>
      </c>
      <c r="D3" s="8">
        <f>-$D$2*(1+$D$7*(B3-B2)/360)</f>
        <v>-5453750.0000000009</v>
      </c>
      <c r="E3" s="19">
        <f>D3*D5</f>
        <v>-17937383.750000004</v>
      </c>
      <c r="G3" s="17" t="s">
        <v>78</v>
      </c>
      <c r="H3" s="18">
        <v>0.1472</v>
      </c>
      <c r="J3" s="25" t="s">
        <v>26</v>
      </c>
      <c r="K3" s="19">
        <f>L3</f>
        <v>16445000</v>
      </c>
      <c r="L3" s="19">
        <f>D6</f>
        <v>16445000</v>
      </c>
      <c r="M3" s="80" t="s">
        <v>32</v>
      </c>
    </row>
    <row r="4" spans="1:13" x14ac:dyDescent="0.3">
      <c r="A4" s="21"/>
      <c r="B4" s="21"/>
      <c r="C4" s="21"/>
      <c r="D4" s="10"/>
      <c r="G4" s="17" t="s">
        <v>14</v>
      </c>
      <c r="H4" s="17">
        <v>3.9651999999999998</v>
      </c>
      <c r="J4" s="25" t="s">
        <v>23</v>
      </c>
      <c r="K4" s="19">
        <f>L4</f>
        <v>215155.41666666605</v>
      </c>
      <c r="L4" s="19">
        <f>L3*(1+D7*(B3-H5)/360)-L3</f>
        <v>215155.41666666605</v>
      </c>
      <c r="M4" s="81"/>
    </row>
    <row r="5" spans="1:13" x14ac:dyDescent="0.3">
      <c r="A5" s="16" t="s">
        <v>0</v>
      </c>
      <c r="B5" s="21"/>
      <c r="C5" s="21"/>
      <c r="D5" s="11">
        <v>3.2890000000000001</v>
      </c>
      <c r="G5" s="17" t="s">
        <v>15</v>
      </c>
      <c r="H5" s="19">
        <f>A3-H1</f>
        <v>932</v>
      </c>
      <c r="J5" s="25" t="s">
        <v>27</v>
      </c>
      <c r="K5" s="19">
        <f>L5</f>
        <v>3425234.75</v>
      </c>
      <c r="L5" s="19">
        <f>L3*(1+D7*(B3-H5)/360)/D5*H4-L4-L3</f>
        <v>3425234.75</v>
      </c>
      <c r="M5" s="81"/>
    </row>
    <row r="6" spans="1:13" x14ac:dyDescent="0.3">
      <c r="A6" s="16" t="s">
        <v>1</v>
      </c>
      <c r="B6" s="21"/>
      <c r="C6" s="21"/>
      <c r="D6" s="12">
        <f>D5*D2</f>
        <v>16445000</v>
      </c>
      <c r="G6" s="17" t="s">
        <v>16</v>
      </c>
      <c r="H6" s="19">
        <f>NETWORKDAYS($H$1,A3,[1]Feriados!$A$170:$A$937)-1</f>
        <v>639</v>
      </c>
      <c r="J6" s="25" t="s">
        <v>28</v>
      </c>
      <c r="K6" s="19">
        <f>E9/(1+H2*(H5/360))-K5-K4-K3</f>
        <v>92796.711858978495</v>
      </c>
      <c r="L6" s="19"/>
      <c r="M6" s="81"/>
    </row>
    <row r="7" spans="1:13" x14ac:dyDescent="0.3">
      <c r="A7" s="16" t="s">
        <v>2</v>
      </c>
      <c r="B7" s="21"/>
      <c r="C7" s="21"/>
      <c r="D7" s="13">
        <v>0.03</v>
      </c>
    </row>
    <row r="8" spans="1:13" x14ac:dyDescent="0.3">
      <c r="A8" s="21"/>
      <c r="B8" s="21"/>
      <c r="C8" s="21"/>
      <c r="J8" s="25" t="s">
        <v>26</v>
      </c>
      <c r="K8" s="19">
        <f>L8</f>
        <v>16445000</v>
      </c>
      <c r="L8" s="19">
        <f>D6</f>
        <v>16445000</v>
      </c>
      <c r="M8" s="78" t="s">
        <v>33</v>
      </c>
    </row>
    <row r="9" spans="1:13" x14ac:dyDescent="0.3">
      <c r="A9" s="16" t="s">
        <v>6</v>
      </c>
      <c r="B9" s="21"/>
      <c r="C9" s="21"/>
      <c r="D9" s="13">
        <v>0.03</v>
      </c>
      <c r="E9" s="19">
        <f>D2*(1+D7*B3/360)*H4</f>
        <v>21625209.500000004</v>
      </c>
      <c r="F9" s="19"/>
      <c r="J9" s="25" t="s">
        <v>23</v>
      </c>
      <c r="K9" s="19">
        <f>L9</f>
        <v>919918.74960335344</v>
      </c>
      <c r="L9" s="19">
        <f>D6*(1+D10)^((C3-H6)/252)-D6</f>
        <v>919918.74960335344</v>
      </c>
      <c r="M9" s="79"/>
    </row>
    <row r="10" spans="1:13" x14ac:dyDescent="0.3">
      <c r="A10" s="16" t="s">
        <v>3</v>
      </c>
      <c r="B10" s="21"/>
      <c r="C10" s="21"/>
      <c r="D10" s="13">
        <v>0.1341</v>
      </c>
      <c r="E10" s="19">
        <f>D6*(1+D10)^(C3/252)</f>
        <v>23892025.282107268</v>
      </c>
      <c r="F10" s="19"/>
      <c r="J10" s="25" t="s">
        <v>28</v>
      </c>
      <c r="K10" s="19">
        <f>E10/(1+H3)^(H6/252)-K8-K9</f>
        <v>-498411.76091912016</v>
      </c>
      <c r="L10" s="19"/>
      <c r="M10" s="79"/>
    </row>
    <row r="11" spans="1:13" ht="15" thickBot="1" x14ac:dyDescent="0.35">
      <c r="J11" s="26" t="s">
        <v>20</v>
      </c>
      <c r="K11" s="27">
        <f>K3+K4+K5-K8-K9-K10+K6</f>
        <v>3311679.8898414094</v>
      </c>
      <c r="L11" s="27">
        <f>L3+L4+L5-L8-L9-L10+L6</f>
        <v>2720471.4170633107</v>
      </c>
    </row>
    <row r="12" spans="1:13" ht="15" thickTop="1" x14ac:dyDescent="0.3"/>
    <row r="14" spans="1:13" x14ac:dyDescent="0.3">
      <c r="G14" s="30" t="s">
        <v>29</v>
      </c>
      <c r="H14" s="33"/>
      <c r="I14" s="19"/>
      <c r="J14" s="34" t="s">
        <v>30</v>
      </c>
      <c r="K14" s="33"/>
    </row>
    <row r="15" spans="1:13" x14ac:dyDescent="0.3">
      <c r="G15" s="31" t="s">
        <v>21</v>
      </c>
      <c r="H15" s="35">
        <f>L3</f>
        <v>16445000</v>
      </c>
      <c r="I15" s="19"/>
      <c r="J15" s="36" t="s">
        <v>22</v>
      </c>
      <c r="K15" s="35">
        <f>L3</f>
        <v>16445000</v>
      </c>
    </row>
    <row r="16" spans="1:13" x14ac:dyDescent="0.3">
      <c r="G16" s="31"/>
      <c r="H16" s="35"/>
      <c r="I16" s="19"/>
      <c r="J16" s="37" t="s">
        <v>23</v>
      </c>
      <c r="K16" s="35">
        <f>L4</f>
        <v>215155.41666666605</v>
      </c>
    </row>
    <row r="17" spans="7:12" x14ac:dyDescent="0.3">
      <c r="G17" s="31"/>
      <c r="H17" s="35"/>
      <c r="I17" s="19"/>
      <c r="J17" s="37" t="s">
        <v>24</v>
      </c>
      <c r="K17" s="35">
        <f>L5</f>
        <v>3425234.75</v>
      </c>
    </row>
    <row r="18" spans="7:12" x14ac:dyDescent="0.3">
      <c r="G18" s="31" t="s">
        <v>25</v>
      </c>
      <c r="H18" s="35">
        <f>L4</f>
        <v>215155.41666666605</v>
      </c>
      <c r="I18" s="19"/>
      <c r="J18" s="36"/>
      <c r="K18" s="35"/>
    </row>
    <row r="19" spans="7:12" x14ac:dyDescent="0.3">
      <c r="G19" s="31"/>
      <c r="H19" s="35">
        <f>L5</f>
        <v>3425234.75</v>
      </c>
      <c r="I19" s="19"/>
      <c r="J19" s="38"/>
      <c r="K19" s="39"/>
    </row>
    <row r="20" spans="7:12" x14ac:dyDescent="0.3">
      <c r="G20" s="31"/>
      <c r="H20" s="35">
        <f>K6</f>
        <v>92796.711858978495</v>
      </c>
      <c r="I20" s="19"/>
      <c r="J20" s="34" t="s">
        <v>31</v>
      </c>
      <c r="K20" s="40"/>
    </row>
    <row r="21" spans="7:12" x14ac:dyDescent="0.3">
      <c r="G21" s="31"/>
      <c r="H21" s="35">
        <f>-L9</f>
        <v>-919918.74960335344</v>
      </c>
      <c r="I21" s="19"/>
      <c r="J21" s="36" t="s">
        <v>40</v>
      </c>
      <c r="K21" s="35">
        <f>H20+H22</f>
        <v>591208.47277809866</v>
      </c>
      <c r="L21" s="28" t="s">
        <v>41</v>
      </c>
    </row>
    <row r="22" spans="7:12" x14ac:dyDescent="0.3">
      <c r="G22" s="31"/>
      <c r="H22" s="35">
        <f>-K10</f>
        <v>498411.76091912016</v>
      </c>
      <c r="I22" s="19"/>
      <c r="J22" s="36"/>
      <c r="K22" s="35"/>
    </row>
    <row r="23" spans="7:12" x14ac:dyDescent="0.3">
      <c r="G23" s="32"/>
      <c r="H23" s="39"/>
      <c r="I23" s="19"/>
      <c r="J23" s="38"/>
      <c r="K23" s="39"/>
    </row>
    <row r="24" spans="7:12" x14ac:dyDescent="0.3">
      <c r="H24" s="19"/>
      <c r="I24" s="19"/>
      <c r="J24" s="19"/>
      <c r="K24" s="19"/>
    </row>
    <row r="25" spans="7:12" x14ac:dyDescent="0.3">
      <c r="H25" s="19"/>
      <c r="I25" s="19"/>
      <c r="J25" s="41" t="s">
        <v>34</v>
      </c>
      <c r="K25" s="41"/>
    </row>
    <row r="26" spans="7:12" x14ac:dyDescent="0.3">
      <c r="H26" s="19"/>
      <c r="I26" s="19"/>
      <c r="J26" s="19" t="s">
        <v>35</v>
      </c>
      <c r="K26" s="19">
        <f>-K16</f>
        <v>-215155.41666666605</v>
      </c>
    </row>
    <row r="27" spans="7:12" x14ac:dyDescent="0.3">
      <c r="H27" s="19"/>
      <c r="I27" s="19"/>
      <c r="J27" s="19" t="s">
        <v>36</v>
      </c>
      <c r="K27" s="19">
        <f>H18</f>
        <v>215155.41666666605</v>
      </c>
    </row>
    <row r="28" spans="7:12" x14ac:dyDescent="0.3">
      <c r="H28" s="19"/>
      <c r="I28" s="19"/>
      <c r="J28" s="19" t="s">
        <v>37</v>
      </c>
      <c r="K28" s="19">
        <f>-K17</f>
        <v>-3425234.75</v>
      </c>
    </row>
    <row r="29" spans="7:12" x14ac:dyDescent="0.3">
      <c r="H29" s="19"/>
      <c r="I29" s="19"/>
      <c r="J29" s="19" t="s">
        <v>38</v>
      </c>
      <c r="K29" s="19">
        <f>H19</f>
        <v>3425234.75</v>
      </c>
    </row>
    <row r="30" spans="7:12" x14ac:dyDescent="0.3">
      <c r="H30" s="19"/>
      <c r="I30" s="19"/>
      <c r="J30" s="19" t="s">
        <v>39</v>
      </c>
      <c r="K30" s="19">
        <f>H21</f>
        <v>-919918.74960335344</v>
      </c>
      <c r="L30" s="28" t="s">
        <v>42</v>
      </c>
    </row>
    <row r="31" spans="7:12" x14ac:dyDescent="0.3">
      <c r="H31" s="19"/>
      <c r="I31" s="19"/>
    </row>
    <row r="32" spans="7:12" x14ac:dyDescent="0.3">
      <c r="H32" s="19"/>
      <c r="I32" s="19"/>
      <c r="J32" s="19"/>
      <c r="K32" s="19"/>
    </row>
    <row r="33" spans="8:11" x14ac:dyDescent="0.3">
      <c r="H33" s="19"/>
      <c r="I33" s="19"/>
      <c r="J33" s="19"/>
      <c r="K33" s="19"/>
    </row>
    <row r="34" spans="8:11" x14ac:dyDescent="0.3">
      <c r="H34" s="19"/>
      <c r="I34" s="19"/>
      <c r="J34" s="19"/>
      <c r="K34" s="19"/>
    </row>
    <row r="35" spans="8:11" x14ac:dyDescent="0.3">
      <c r="H35" s="19"/>
      <c r="I35" s="19"/>
      <c r="J35" s="19"/>
      <c r="K35" s="19"/>
    </row>
    <row r="36" spans="8:11" x14ac:dyDescent="0.3">
      <c r="H36" s="19"/>
      <c r="I36" s="19"/>
      <c r="J36" s="19"/>
      <c r="K36" s="19"/>
    </row>
    <row r="37" spans="8:11" x14ac:dyDescent="0.3">
      <c r="H37" s="19"/>
      <c r="I37" s="19"/>
      <c r="J37" s="19"/>
      <c r="K37" s="19"/>
    </row>
    <row r="38" spans="8:11" x14ac:dyDescent="0.3">
      <c r="H38" s="19"/>
      <c r="I38" s="19"/>
      <c r="J38" s="19"/>
      <c r="K38" s="19"/>
    </row>
    <row r="39" spans="8:11" x14ac:dyDescent="0.3">
      <c r="H39" s="19"/>
      <c r="I39" s="19"/>
      <c r="J39" s="19"/>
      <c r="K39" s="19"/>
    </row>
    <row r="40" spans="8:11" x14ac:dyDescent="0.3">
      <c r="H40" s="19"/>
      <c r="I40" s="19"/>
      <c r="J40" s="19"/>
      <c r="K40" s="19"/>
    </row>
    <row r="41" spans="8:11" x14ac:dyDescent="0.3">
      <c r="H41" s="19"/>
      <c r="I41" s="19"/>
      <c r="J41" s="19"/>
      <c r="K41" s="19"/>
    </row>
    <row r="42" spans="8:11" x14ac:dyDescent="0.3">
      <c r="H42" s="19"/>
      <c r="I42" s="19"/>
      <c r="J42" s="19"/>
      <c r="K42" s="19"/>
    </row>
    <row r="43" spans="8:11" x14ac:dyDescent="0.3">
      <c r="H43" s="19"/>
      <c r="I43" s="19"/>
      <c r="J43" s="19"/>
      <c r="K43" s="19"/>
    </row>
    <row r="44" spans="8:11" x14ac:dyDescent="0.3">
      <c r="H44" s="19"/>
      <c r="I44" s="19"/>
      <c r="J44" s="19"/>
      <c r="K44" s="19"/>
    </row>
    <row r="45" spans="8:11" x14ac:dyDescent="0.3">
      <c r="H45" s="19"/>
      <c r="I45" s="19"/>
      <c r="J45" s="19"/>
      <c r="K45" s="19"/>
    </row>
    <row r="46" spans="8:11" x14ac:dyDescent="0.3">
      <c r="H46" s="19"/>
      <c r="I46" s="19"/>
      <c r="J46" s="19"/>
      <c r="K46" s="19"/>
    </row>
  </sheetData>
  <mergeCells count="2">
    <mergeCell ref="M3:M6"/>
    <mergeCell ref="M8:M1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6FC4-EBF0-40FE-9CDB-ED0ACC6D87D2}">
  <dimension ref="C1:I23"/>
  <sheetViews>
    <sheetView workbookViewId="0"/>
  </sheetViews>
  <sheetFormatPr defaultRowHeight="14.4" x14ac:dyDescent="0.3"/>
  <cols>
    <col min="1" max="2" width="8.88671875" style="17"/>
    <col min="3" max="3" width="26.109375" style="17" bestFit="1" customWidth="1"/>
    <col min="4" max="4" width="12" style="19" customWidth="1"/>
    <col min="5" max="5" width="34.109375" style="17" customWidth="1"/>
    <col min="6" max="6" width="2.33203125" style="17" customWidth="1"/>
    <col min="7" max="7" width="26.109375" style="17" bestFit="1" customWidth="1"/>
    <col min="8" max="8" width="12" style="19" customWidth="1"/>
    <col min="9" max="9" width="34.109375" style="17" customWidth="1"/>
    <col min="10" max="16384" width="8.88671875" style="17"/>
  </cols>
  <sheetData>
    <row r="1" spans="3:9" x14ac:dyDescent="0.3">
      <c r="C1" s="82" t="s">
        <v>54</v>
      </c>
      <c r="D1" s="82"/>
      <c r="E1" s="82"/>
      <c r="G1" s="82" t="s">
        <v>55</v>
      </c>
      <c r="H1" s="82"/>
      <c r="I1" s="82"/>
    </row>
    <row r="3" spans="3:9" x14ac:dyDescent="0.3">
      <c r="C3" s="42" t="s">
        <v>48</v>
      </c>
      <c r="D3" s="48">
        <f>D4+D5+D6</f>
        <v>102000</v>
      </c>
      <c r="G3" s="42" t="s">
        <v>48</v>
      </c>
      <c r="H3" s="48">
        <f>H4+H5+H6</f>
        <v>103000</v>
      </c>
    </row>
    <row r="4" spans="3:9" x14ac:dyDescent="0.3">
      <c r="C4" s="47" t="s">
        <v>26</v>
      </c>
      <c r="D4" s="35">
        <v>100000</v>
      </c>
      <c r="G4" s="47" t="s">
        <v>26</v>
      </c>
      <c r="H4" s="35">
        <v>100000</v>
      </c>
    </row>
    <row r="5" spans="3:9" x14ac:dyDescent="0.3">
      <c r="C5" s="47" t="s">
        <v>43</v>
      </c>
      <c r="D5" s="35">
        <v>2000</v>
      </c>
      <c r="G5" s="47" t="s">
        <v>43</v>
      </c>
      <c r="H5" s="35">
        <v>2000</v>
      </c>
    </row>
    <row r="6" spans="3:9" x14ac:dyDescent="0.3">
      <c r="C6" s="49"/>
      <c r="D6" s="50"/>
      <c r="G6" s="51" t="s">
        <v>28</v>
      </c>
      <c r="H6" s="52">
        <f>H23</f>
        <v>1000</v>
      </c>
    </row>
    <row r="8" spans="3:9" x14ac:dyDescent="0.3">
      <c r="C8" s="42" t="s">
        <v>25</v>
      </c>
      <c r="D8" s="43">
        <f>D12-D9</f>
        <v>500</v>
      </c>
      <c r="G8" s="42" t="s">
        <v>25</v>
      </c>
      <c r="H8" s="43">
        <f>H12-H9</f>
        <v>500</v>
      </c>
    </row>
    <row r="9" spans="3:9" x14ac:dyDescent="0.3">
      <c r="C9" s="44" t="s">
        <v>45</v>
      </c>
      <c r="D9" s="43">
        <f>D10+D11</f>
        <v>2300</v>
      </c>
      <c r="G9" s="44" t="s">
        <v>45</v>
      </c>
      <c r="H9" s="43">
        <f>H10+H11</f>
        <v>2300</v>
      </c>
    </row>
    <row r="10" spans="3:9" x14ac:dyDescent="0.3">
      <c r="C10" s="45" t="s">
        <v>51</v>
      </c>
      <c r="D10" s="35">
        <v>2500</v>
      </c>
      <c r="G10" s="45" t="s">
        <v>51</v>
      </c>
      <c r="H10" s="35">
        <v>2500</v>
      </c>
    </row>
    <row r="11" spans="3:9" x14ac:dyDescent="0.3">
      <c r="C11" s="46" t="s">
        <v>28</v>
      </c>
      <c r="D11" s="39">
        <v>-200</v>
      </c>
      <c r="G11" s="46" t="s">
        <v>28</v>
      </c>
      <c r="H11" s="39">
        <v>-200</v>
      </c>
    </row>
    <row r="12" spans="3:9" x14ac:dyDescent="0.3">
      <c r="C12" s="44" t="s">
        <v>44</v>
      </c>
      <c r="D12" s="43">
        <f>D13+D14</f>
        <v>2800</v>
      </c>
      <c r="G12" s="44" t="s">
        <v>44</v>
      </c>
      <c r="H12" s="43">
        <f>H13+H14</f>
        <v>2800</v>
      </c>
    </row>
    <row r="13" spans="3:9" x14ac:dyDescent="0.3">
      <c r="C13" s="45" t="s">
        <v>50</v>
      </c>
      <c r="D13" s="35">
        <f>D5</f>
        <v>2000</v>
      </c>
      <c r="G13" s="45" t="s">
        <v>50</v>
      </c>
      <c r="H13" s="35">
        <f>H5</f>
        <v>2000</v>
      </c>
    </row>
    <row r="14" spans="3:9" x14ac:dyDescent="0.3">
      <c r="C14" s="46" t="s">
        <v>28</v>
      </c>
      <c r="D14" s="39">
        <v>800</v>
      </c>
      <c r="G14" s="46" t="s">
        <v>28</v>
      </c>
      <c r="H14" s="39">
        <v>800</v>
      </c>
    </row>
    <row r="19" spans="3:9" x14ac:dyDescent="0.3">
      <c r="C19" s="55" t="s">
        <v>34</v>
      </c>
      <c r="D19" s="56"/>
      <c r="G19" s="55" t="s">
        <v>34</v>
      </c>
      <c r="H19" s="56"/>
    </row>
    <row r="20" spans="3:9" x14ac:dyDescent="0.3">
      <c r="C20" s="53" t="s">
        <v>49</v>
      </c>
      <c r="D20" s="54">
        <f>D5</f>
        <v>2000</v>
      </c>
      <c r="E20" s="53"/>
      <c r="G20" s="53" t="s">
        <v>49</v>
      </c>
      <c r="H20" s="54">
        <f>H5</f>
        <v>2000</v>
      </c>
      <c r="I20" s="53" t="s">
        <v>52</v>
      </c>
    </row>
    <row r="21" spans="3:9" x14ac:dyDescent="0.3">
      <c r="C21" s="53" t="s">
        <v>46</v>
      </c>
      <c r="D21" s="54">
        <f>D10-D13</f>
        <v>500</v>
      </c>
      <c r="E21" s="53"/>
      <c r="G21" s="53" t="s">
        <v>46</v>
      </c>
      <c r="H21" s="54">
        <f>H10-H13</f>
        <v>500</v>
      </c>
      <c r="I21" s="53"/>
    </row>
    <row r="22" spans="3:9" x14ac:dyDescent="0.3">
      <c r="C22" s="17" t="s">
        <v>40</v>
      </c>
      <c r="D22" s="19">
        <f>D11-D14</f>
        <v>-1000</v>
      </c>
      <c r="E22" s="17" t="s">
        <v>47</v>
      </c>
      <c r="G22" s="17" t="s">
        <v>40</v>
      </c>
      <c r="H22" s="19">
        <f>H11-H14</f>
        <v>-1000</v>
      </c>
    </row>
    <row r="23" spans="3:9" x14ac:dyDescent="0.3">
      <c r="G23" s="17" t="s">
        <v>53</v>
      </c>
      <c r="H23" s="19">
        <f>-H22</f>
        <v>1000</v>
      </c>
    </row>
  </sheetData>
  <mergeCells count="2">
    <mergeCell ref="C1:E1"/>
    <mergeCell ref="G1:I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0E33-F32B-4AED-AED5-59F022C78E8F}">
  <dimension ref="A1:N46"/>
  <sheetViews>
    <sheetView workbookViewId="0">
      <selection sqref="A1:F1"/>
    </sheetView>
  </sheetViews>
  <sheetFormatPr defaultRowHeight="14.4" x14ac:dyDescent="0.3"/>
  <cols>
    <col min="1" max="1" width="4.109375" style="19" customWidth="1"/>
    <col min="2" max="2" width="36.21875" style="19" customWidth="1"/>
    <col min="3" max="4" width="4.109375" style="19" customWidth="1"/>
    <col min="5" max="5" width="36.21875" style="19" customWidth="1"/>
    <col min="6" max="6" width="4.109375" style="19" customWidth="1"/>
    <col min="7" max="7" width="8.88671875" style="19"/>
    <col min="8" max="8" width="25.77734375" style="19" bestFit="1" customWidth="1"/>
    <col min="9" max="9" width="11.44140625" style="19" bestFit="1" customWidth="1"/>
    <col min="10" max="10" width="8.88671875" style="19"/>
    <col min="11" max="11" width="2" style="19" customWidth="1"/>
    <col min="12" max="12" width="18.44140625" style="19" customWidth="1"/>
    <col min="13" max="13" width="11.44140625" style="19" bestFit="1" customWidth="1"/>
    <col min="14" max="14" width="2" style="19" customWidth="1"/>
    <col min="15" max="16384" width="8.88671875" style="19"/>
  </cols>
  <sheetData>
    <row r="1" spans="1:9" x14ac:dyDescent="0.3">
      <c r="A1" s="83" t="s">
        <v>73</v>
      </c>
      <c r="B1" s="83"/>
      <c r="C1" s="83"/>
      <c r="D1" s="83"/>
      <c r="E1" s="83"/>
      <c r="F1" s="83"/>
    </row>
    <row r="2" spans="1:9" x14ac:dyDescent="0.3">
      <c r="A2" s="59"/>
      <c r="B2" s="60"/>
      <c r="C2" s="40"/>
      <c r="D2" s="59"/>
      <c r="E2" s="60"/>
      <c r="F2" s="40"/>
    </row>
    <row r="3" spans="1:9" x14ac:dyDescent="0.3">
      <c r="A3" s="36"/>
      <c r="B3" s="61"/>
      <c r="C3" s="35"/>
      <c r="D3" s="36"/>
      <c r="E3" s="61" t="s">
        <v>58</v>
      </c>
      <c r="F3" s="35"/>
    </row>
    <row r="4" spans="1:9" x14ac:dyDescent="0.3">
      <c r="A4" s="36"/>
      <c r="B4" s="61"/>
      <c r="C4" s="35"/>
      <c r="D4" s="36"/>
      <c r="E4" s="61">
        <f>B6</f>
        <v>86192560</v>
      </c>
      <c r="F4" s="35"/>
    </row>
    <row r="5" spans="1:9" x14ac:dyDescent="0.3">
      <c r="A5" s="36"/>
      <c r="B5" s="61" t="s">
        <v>57</v>
      </c>
      <c r="C5" s="35"/>
      <c r="D5" s="36"/>
      <c r="E5" s="62">
        <f>M26-E4</f>
        <v>45070</v>
      </c>
      <c r="F5" s="35"/>
    </row>
    <row r="6" spans="1:9" ht="15" thickBot="1" x14ac:dyDescent="0.35">
      <c r="A6" s="36"/>
      <c r="B6" s="61">
        <v>86192560</v>
      </c>
      <c r="C6" s="35"/>
      <c r="D6" s="36"/>
      <c r="E6" s="58">
        <f>E4+E5</f>
        <v>86237630</v>
      </c>
      <c r="F6" s="35"/>
    </row>
    <row r="7" spans="1:9" ht="15" thickTop="1" x14ac:dyDescent="0.3">
      <c r="A7" s="36"/>
      <c r="B7" s="62">
        <f>I13</f>
        <v>42420</v>
      </c>
      <c r="C7" s="35"/>
      <c r="D7" s="38"/>
      <c r="E7" s="56"/>
      <c r="F7" s="39"/>
    </row>
    <row r="8" spans="1:9" ht="15" thickBot="1" x14ac:dyDescent="0.35">
      <c r="A8" s="36"/>
      <c r="B8" s="58">
        <f>B6+B7</f>
        <v>86234980</v>
      </c>
      <c r="C8" s="35"/>
      <c r="D8" s="59"/>
      <c r="E8" s="60"/>
      <c r="F8" s="40"/>
    </row>
    <row r="9" spans="1:9" ht="15" thickTop="1" x14ac:dyDescent="0.3">
      <c r="A9" s="36"/>
      <c r="B9" s="61"/>
      <c r="C9" s="35"/>
      <c r="D9" s="36"/>
      <c r="E9" s="61"/>
      <c r="F9" s="35"/>
    </row>
    <row r="10" spans="1:9" x14ac:dyDescent="0.3">
      <c r="A10" s="38"/>
      <c r="B10" s="56"/>
      <c r="C10" s="39"/>
      <c r="D10" s="38"/>
      <c r="E10" s="56"/>
      <c r="F10" s="39"/>
    </row>
    <row r="11" spans="1:9" x14ac:dyDescent="0.3">
      <c r="A11" s="84" t="s">
        <v>73</v>
      </c>
      <c r="B11" s="84"/>
      <c r="C11" s="84"/>
      <c r="D11" s="84"/>
      <c r="E11" s="84"/>
      <c r="F11" s="84"/>
      <c r="G11" s="84"/>
      <c r="H11" s="84"/>
      <c r="I11" s="84"/>
    </row>
    <row r="12" spans="1:9" x14ac:dyDescent="0.3">
      <c r="A12" s="65"/>
      <c r="B12" s="66"/>
      <c r="C12" s="67"/>
      <c r="D12" s="65"/>
      <c r="E12" s="66"/>
      <c r="F12" s="67"/>
      <c r="G12" s="68"/>
      <c r="H12" s="69" t="s">
        <v>34</v>
      </c>
      <c r="I12" s="69"/>
    </row>
    <row r="13" spans="1:9" x14ac:dyDescent="0.3">
      <c r="A13" s="70"/>
      <c r="B13" s="63"/>
      <c r="C13" s="71"/>
      <c r="D13" s="70"/>
      <c r="E13" s="63" t="s">
        <v>58</v>
      </c>
      <c r="F13" s="71"/>
      <c r="G13" s="68"/>
      <c r="H13" s="68" t="s">
        <v>59</v>
      </c>
      <c r="I13" s="68">
        <f>86234980-B6</f>
        <v>42420</v>
      </c>
    </row>
    <row r="14" spans="1:9" x14ac:dyDescent="0.3">
      <c r="A14" s="70"/>
      <c r="B14" s="63"/>
      <c r="C14" s="71"/>
      <c r="D14" s="70"/>
      <c r="E14" s="61">
        <f>B16</f>
        <v>86192560</v>
      </c>
      <c r="F14" s="71"/>
      <c r="G14" s="68"/>
      <c r="H14" s="68" t="s">
        <v>67</v>
      </c>
      <c r="I14" s="68">
        <f>-E15</f>
        <v>-45070</v>
      </c>
    </row>
    <row r="15" spans="1:9" x14ac:dyDescent="0.3">
      <c r="A15" s="70"/>
      <c r="B15" s="63" t="s">
        <v>57</v>
      </c>
      <c r="C15" s="71"/>
      <c r="D15" s="70"/>
      <c r="E15" s="63">
        <f>M26-E4</f>
        <v>45070</v>
      </c>
      <c r="F15" s="71"/>
      <c r="G15" s="68"/>
      <c r="H15" s="68"/>
      <c r="I15" s="68"/>
    </row>
    <row r="16" spans="1:9" ht="15" thickBot="1" x14ac:dyDescent="0.35">
      <c r="A16" s="70"/>
      <c r="B16" s="63">
        <v>86192560</v>
      </c>
      <c r="C16" s="71"/>
      <c r="D16" s="70"/>
      <c r="E16" s="64">
        <f>E14+E15</f>
        <v>86237630</v>
      </c>
      <c r="F16" s="71"/>
      <c r="G16" s="68"/>
    </row>
    <row r="17" spans="1:14" ht="15" thickTop="1" x14ac:dyDescent="0.3">
      <c r="A17" s="70"/>
      <c r="B17" s="63">
        <f>I13</f>
        <v>42420</v>
      </c>
      <c r="C17" s="71"/>
      <c r="D17" s="72"/>
      <c r="E17" s="73"/>
      <c r="F17" s="52"/>
      <c r="G17" s="68"/>
      <c r="H17" s="68"/>
      <c r="I17" s="68"/>
    </row>
    <row r="18" spans="1:14" ht="15" thickBot="1" x14ac:dyDescent="0.35">
      <c r="A18" s="70"/>
      <c r="B18" s="64">
        <f>B16+B17</f>
        <v>86234980</v>
      </c>
      <c r="C18" s="71"/>
      <c r="D18" s="65"/>
      <c r="E18" s="66"/>
      <c r="F18" s="67"/>
      <c r="G18" s="68"/>
      <c r="H18" s="68" t="s">
        <v>68</v>
      </c>
      <c r="I18" s="68">
        <f>I13+I14+I15+I16+I17</f>
        <v>-2650</v>
      </c>
    </row>
    <row r="19" spans="1:14" ht="15" thickTop="1" x14ac:dyDescent="0.3">
      <c r="A19" s="70"/>
      <c r="B19" s="63"/>
      <c r="C19" s="71"/>
      <c r="D19" s="70"/>
      <c r="E19" s="63" t="s">
        <v>70</v>
      </c>
      <c r="F19" s="71"/>
      <c r="G19" s="68"/>
      <c r="H19" s="68"/>
      <c r="I19" s="68"/>
    </row>
    <row r="20" spans="1:14" x14ac:dyDescent="0.3">
      <c r="A20" s="70"/>
      <c r="B20" s="63"/>
      <c r="C20" s="71"/>
      <c r="D20" s="70"/>
      <c r="E20" s="63"/>
      <c r="F20" s="71"/>
      <c r="G20" s="68"/>
      <c r="H20" s="68"/>
      <c r="I20" s="68"/>
    </row>
    <row r="21" spans="1:14" x14ac:dyDescent="0.3">
      <c r="A21" s="70"/>
      <c r="B21" s="63"/>
      <c r="C21" s="71"/>
      <c r="D21" s="70"/>
      <c r="E21" s="63" t="s">
        <v>69</v>
      </c>
      <c r="F21" s="71"/>
      <c r="G21" s="68"/>
      <c r="H21" s="68"/>
      <c r="I21" s="68"/>
    </row>
    <row r="22" spans="1:14" x14ac:dyDescent="0.3">
      <c r="A22" s="72"/>
      <c r="B22" s="73"/>
      <c r="C22" s="52"/>
      <c r="D22" s="72"/>
      <c r="E22" s="73">
        <f>I18</f>
        <v>-2650</v>
      </c>
      <c r="F22" s="52"/>
      <c r="G22" s="68"/>
    </row>
    <row r="23" spans="1:14" x14ac:dyDescent="0.3">
      <c r="A23" s="84" t="s">
        <v>74</v>
      </c>
      <c r="B23" s="84"/>
      <c r="C23" s="84"/>
      <c r="D23" s="84"/>
      <c r="E23" s="84"/>
      <c r="F23" s="84"/>
      <c r="G23" s="84"/>
      <c r="H23" s="84"/>
      <c r="I23" s="84"/>
      <c r="K23" s="59"/>
      <c r="L23" s="85" t="s">
        <v>77</v>
      </c>
      <c r="M23" s="85"/>
      <c r="N23" s="40"/>
    </row>
    <row r="24" spans="1:14" x14ac:dyDescent="0.3">
      <c r="A24" s="65"/>
      <c r="B24" s="66"/>
      <c r="C24" s="67"/>
      <c r="D24" s="65"/>
      <c r="E24" s="66"/>
      <c r="F24" s="67"/>
      <c r="G24" s="68"/>
      <c r="H24" s="69" t="s">
        <v>34</v>
      </c>
      <c r="I24" s="69"/>
      <c r="K24" s="36"/>
      <c r="L24" s="61"/>
      <c r="M24" s="61"/>
      <c r="N24" s="35"/>
    </row>
    <row r="25" spans="1:14" x14ac:dyDescent="0.3">
      <c r="A25" s="70"/>
      <c r="B25" s="63" t="s">
        <v>57</v>
      </c>
      <c r="C25" s="71"/>
      <c r="D25" s="70"/>
      <c r="E25" s="63" t="s">
        <v>58</v>
      </c>
      <c r="F25" s="71"/>
      <c r="G25" s="68"/>
      <c r="H25" s="68" t="s">
        <v>59</v>
      </c>
      <c r="I25" s="68">
        <f>86234980-B16</f>
        <v>42420</v>
      </c>
      <c r="K25" s="36"/>
      <c r="L25" s="86" t="s">
        <v>61</v>
      </c>
      <c r="M25" s="61"/>
      <c r="N25" s="35"/>
    </row>
    <row r="26" spans="1:14" x14ac:dyDescent="0.3">
      <c r="A26" s="70"/>
      <c r="B26" s="63">
        <v>86192560</v>
      </c>
      <c r="C26" s="71"/>
      <c r="D26" s="70"/>
      <c r="E26" s="61">
        <f>E14</f>
        <v>86192560</v>
      </c>
      <c r="F26" s="71"/>
      <c r="G26" s="68"/>
      <c r="H26" s="68" t="s">
        <v>67</v>
      </c>
      <c r="I26" s="68">
        <f>-E27</f>
        <v>-45070</v>
      </c>
      <c r="K26" s="36"/>
      <c r="L26" s="61" t="s">
        <v>56</v>
      </c>
      <c r="M26" s="61">
        <v>86237630</v>
      </c>
      <c r="N26" s="35"/>
    </row>
    <row r="27" spans="1:14" x14ac:dyDescent="0.3">
      <c r="A27" s="70"/>
      <c r="B27" s="63">
        <f>I25</f>
        <v>42420</v>
      </c>
      <c r="C27" s="71"/>
      <c r="D27" s="70"/>
      <c r="E27" s="63">
        <f>M26-E4</f>
        <v>45070</v>
      </c>
      <c r="F27" s="71"/>
      <c r="G27" s="68"/>
      <c r="H27" s="68" t="s">
        <v>66</v>
      </c>
      <c r="I27" s="68">
        <f>B31</f>
        <v>12560</v>
      </c>
      <c r="K27" s="36"/>
      <c r="L27" s="63" t="s">
        <v>19</v>
      </c>
      <c r="M27" s="63">
        <f>86234980</f>
        <v>86234980</v>
      </c>
      <c r="N27" s="35"/>
    </row>
    <row r="28" spans="1:14" ht="15" thickBot="1" x14ac:dyDescent="0.35">
      <c r="A28" s="70"/>
      <c r="B28" s="64">
        <f>B26+B27</f>
        <v>86234980</v>
      </c>
      <c r="C28" s="71"/>
      <c r="D28" s="70"/>
      <c r="E28" s="64">
        <f>E26+E27</f>
        <v>86237630</v>
      </c>
      <c r="F28" s="71"/>
      <c r="G28" s="68"/>
      <c r="H28" s="68"/>
      <c r="I28" s="68"/>
      <c r="K28" s="36"/>
      <c r="L28" s="63" t="s">
        <v>60</v>
      </c>
      <c r="M28" s="64">
        <f>M26-M27</f>
        <v>2650</v>
      </c>
      <c r="N28" s="35"/>
    </row>
    <row r="29" spans="1:14" ht="15" thickTop="1" x14ac:dyDescent="0.3">
      <c r="A29" s="70"/>
      <c r="C29" s="71"/>
      <c r="D29" s="72"/>
      <c r="E29" s="73"/>
      <c r="F29" s="52"/>
      <c r="G29" s="68"/>
      <c r="K29" s="36"/>
      <c r="L29" s="61" t="s">
        <v>28</v>
      </c>
      <c r="M29" s="61"/>
      <c r="N29" s="35"/>
    </row>
    <row r="30" spans="1:14" x14ac:dyDescent="0.3">
      <c r="A30" s="70"/>
      <c r="B30" s="19" t="s">
        <v>65</v>
      </c>
      <c r="C30" s="71"/>
      <c r="D30" s="65"/>
      <c r="E30" s="66"/>
      <c r="F30" s="67"/>
      <c r="G30" s="68"/>
      <c r="H30" s="68" t="s">
        <v>68</v>
      </c>
      <c r="I30" s="68">
        <f>I25+I26+I27+I28+I29</f>
        <v>9910</v>
      </c>
      <c r="K30" s="36"/>
      <c r="N30" s="35"/>
    </row>
    <row r="31" spans="1:14" ht="15" thickBot="1" x14ac:dyDescent="0.35">
      <c r="A31" s="70"/>
      <c r="B31" s="64">
        <f>M34</f>
        <v>12560</v>
      </c>
      <c r="C31" s="71"/>
      <c r="D31" s="70"/>
      <c r="E31" s="63" t="s">
        <v>70</v>
      </c>
      <c r="F31" s="71"/>
      <c r="G31" s="68"/>
      <c r="K31" s="36"/>
      <c r="L31" s="86" t="s">
        <v>64</v>
      </c>
      <c r="M31" s="61"/>
      <c r="N31" s="35"/>
    </row>
    <row r="32" spans="1:14" ht="15" thickTop="1" x14ac:dyDescent="0.3">
      <c r="A32" s="70"/>
      <c r="B32" s="63"/>
      <c r="C32" s="71"/>
      <c r="D32" s="70"/>
      <c r="E32" s="63"/>
      <c r="F32" s="71"/>
      <c r="G32" s="68"/>
      <c r="K32" s="36"/>
      <c r="L32" s="61" t="s">
        <v>63</v>
      </c>
      <c r="M32" s="61">
        <f>B16</f>
        <v>86192560</v>
      </c>
      <c r="N32" s="35"/>
    </row>
    <row r="33" spans="1:14" x14ac:dyDescent="0.3">
      <c r="A33" s="70"/>
      <c r="B33" s="63"/>
      <c r="C33" s="71"/>
      <c r="D33" s="70"/>
      <c r="E33" s="63" t="s">
        <v>69</v>
      </c>
      <c r="F33" s="71"/>
      <c r="G33" s="68"/>
      <c r="K33" s="36"/>
      <c r="L33" s="61" t="s">
        <v>62</v>
      </c>
      <c r="M33" s="61">
        <v>86180000</v>
      </c>
      <c r="N33" s="35"/>
    </row>
    <row r="34" spans="1:14" ht="15" thickBot="1" x14ac:dyDescent="0.35">
      <c r="A34" s="72"/>
      <c r="B34" s="73"/>
      <c r="C34" s="52"/>
      <c r="D34" s="72"/>
      <c r="E34" s="73">
        <f>I30</f>
        <v>9910</v>
      </c>
      <c r="F34" s="52"/>
      <c r="G34" s="68"/>
      <c r="K34" s="36"/>
      <c r="L34" s="61" t="s">
        <v>60</v>
      </c>
      <c r="M34" s="57">
        <f>M32-M33</f>
        <v>12560</v>
      </c>
      <c r="N34" s="35"/>
    </row>
    <row r="35" spans="1:14" ht="15" thickTop="1" x14ac:dyDescent="0.3">
      <c r="A35" s="84" t="s">
        <v>75</v>
      </c>
      <c r="B35" s="84"/>
      <c r="C35" s="84"/>
      <c r="D35" s="84"/>
      <c r="E35" s="84"/>
      <c r="F35" s="84"/>
      <c r="G35" s="84"/>
      <c r="H35" s="84"/>
      <c r="I35" s="84"/>
      <c r="K35" s="36"/>
      <c r="L35" s="86"/>
      <c r="M35" s="61"/>
      <c r="N35" s="35"/>
    </row>
    <row r="36" spans="1:14" x14ac:dyDescent="0.3">
      <c r="A36" s="65"/>
      <c r="B36" s="66"/>
      <c r="C36" s="67"/>
      <c r="D36" s="65"/>
      <c r="E36" s="66"/>
      <c r="F36" s="67"/>
      <c r="G36" s="68"/>
      <c r="H36" s="69" t="s">
        <v>34</v>
      </c>
      <c r="I36" s="69"/>
      <c r="K36" s="36"/>
      <c r="L36" s="86" t="s">
        <v>76</v>
      </c>
      <c r="M36" s="61"/>
      <c r="N36" s="35"/>
    </row>
    <row r="37" spans="1:14" x14ac:dyDescent="0.3">
      <c r="A37" s="70"/>
      <c r="B37" s="63" t="s">
        <v>57</v>
      </c>
      <c r="C37" s="71"/>
      <c r="D37" s="70"/>
      <c r="E37" s="63" t="s">
        <v>58</v>
      </c>
      <c r="F37" s="71"/>
      <c r="G37" s="68"/>
      <c r="H37" s="68" t="s">
        <v>59</v>
      </c>
      <c r="I37" s="68">
        <f>I25</f>
        <v>42420</v>
      </c>
      <c r="K37" s="36"/>
      <c r="L37" s="87" t="s">
        <v>19</v>
      </c>
      <c r="M37" s="61">
        <f>M28</f>
        <v>2650</v>
      </c>
      <c r="N37" s="35"/>
    </row>
    <row r="38" spans="1:14" x14ac:dyDescent="0.3">
      <c r="A38" s="70"/>
      <c r="B38" s="63">
        <v>86192560</v>
      </c>
      <c r="C38" s="71"/>
      <c r="D38" s="70"/>
      <c r="E38" s="61">
        <f>E26</f>
        <v>86192560</v>
      </c>
      <c r="F38" s="71"/>
      <c r="G38" s="68"/>
      <c r="H38" s="68" t="s">
        <v>67</v>
      </c>
      <c r="I38" s="68">
        <f>I26</f>
        <v>-45070</v>
      </c>
      <c r="K38" s="36"/>
      <c r="L38" s="87" t="s">
        <v>28</v>
      </c>
      <c r="M38" s="61">
        <f>M34-M37</f>
        <v>9910</v>
      </c>
      <c r="N38" s="35"/>
    </row>
    <row r="39" spans="1:14" x14ac:dyDescent="0.3">
      <c r="A39" s="70"/>
      <c r="B39" s="63">
        <f>I37</f>
        <v>42420</v>
      </c>
      <c r="C39" s="71"/>
      <c r="D39" s="70"/>
      <c r="E39" s="63">
        <f>E27</f>
        <v>45070</v>
      </c>
      <c r="F39" s="71"/>
      <c r="G39" s="68"/>
      <c r="H39" s="68" t="s">
        <v>71</v>
      </c>
      <c r="I39" s="68">
        <f>M28</f>
        <v>2650</v>
      </c>
      <c r="K39" s="38"/>
      <c r="L39" s="56"/>
      <c r="M39" s="56"/>
      <c r="N39" s="39"/>
    </row>
    <row r="40" spans="1:14" ht="15" thickBot="1" x14ac:dyDescent="0.35">
      <c r="A40" s="70"/>
      <c r="B40" s="64">
        <f>B38+B39</f>
        <v>86234980</v>
      </c>
      <c r="C40" s="71"/>
      <c r="D40" s="70"/>
      <c r="E40" s="64">
        <f>E38+E39</f>
        <v>86237630</v>
      </c>
      <c r="F40" s="71"/>
      <c r="G40" s="68"/>
      <c r="H40" s="68"/>
      <c r="I40" s="68"/>
    </row>
    <row r="41" spans="1:14" ht="15" thickTop="1" x14ac:dyDescent="0.3">
      <c r="A41" s="70"/>
      <c r="C41" s="71"/>
      <c r="D41" s="72"/>
      <c r="E41" s="73"/>
      <c r="F41" s="52"/>
      <c r="G41" s="68"/>
    </row>
    <row r="42" spans="1:14" x14ac:dyDescent="0.3">
      <c r="A42" s="70"/>
      <c r="B42" s="19" t="s">
        <v>65</v>
      </c>
      <c r="C42" s="71"/>
      <c r="D42" s="65"/>
      <c r="E42" s="66"/>
      <c r="F42" s="67"/>
      <c r="G42" s="68"/>
      <c r="H42" s="68" t="s">
        <v>68</v>
      </c>
      <c r="I42" s="75">
        <f>I37+I38+I39+I40+I41</f>
        <v>0</v>
      </c>
    </row>
    <row r="43" spans="1:14" x14ac:dyDescent="0.3">
      <c r="A43" s="70"/>
      <c r="B43" s="19">
        <f>M37</f>
        <v>2650</v>
      </c>
      <c r="C43" s="71"/>
      <c r="D43" s="70"/>
      <c r="E43" s="63" t="s">
        <v>72</v>
      </c>
      <c r="F43" s="71"/>
      <c r="G43" s="68"/>
    </row>
    <row r="44" spans="1:14" x14ac:dyDescent="0.3">
      <c r="A44" s="70"/>
      <c r="B44" s="63">
        <f>M38</f>
        <v>9910</v>
      </c>
      <c r="C44" s="71"/>
      <c r="D44" s="70"/>
      <c r="E44" s="63">
        <f>M38</f>
        <v>9910</v>
      </c>
      <c r="F44" s="71"/>
      <c r="G44" s="68"/>
    </row>
    <row r="45" spans="1:14" ht="15" thickBot="1" x14ac:dyDescent="0.35">
      <c r="A45" s="70"/>
      <c r="B45" s="64">
        <f>B31</f>
        <v>12560</v>
      </c>
      <c r="C45" s="71"/>
      <c r="D45" s="70"/>
      <c r="E45" s="63" t="s">
        <v>69</v>
      </c>
      <c r="F45" s="71"/>
      <c r="G45" s="68"/>
    </row>
    <row r="46" spans="1:14" ht="15" thickTop="1" x14ac:dyDescent="0.3">
      <c r="A46" s="72"/>
      <c r="B46" s="73"/>
      <c r="C46" s="52"/>
      <c r="D46" s="72"/>
      <c r="E46" s="74">
        <v>0</v>
      </c>
      <c r="F46" s="52"/>
      <c r="G46" s="68"/>
    </row>
  </sheetData>
  <mergeCells count="5">
    <mergeCell ref="A1:F1"/>
    <mergeCell ref="A11:I11"/>
    <mergeCell ref="A23:I23"/>
    <mergeCell ref="A35:I35"/>
    <mergeCell ref="L23:M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VJ Inicial</vt:lpstr>
      <vt:lpstr>Accrual e VJ Swap USD</vt:lpstr>
      <vt:lpstr>Hedge FlCx Swap USD</vt:lpstr>
      <vt:lpstr>Efeito Hedge VJ</vt:lpstr>
      <vt:lpstr>Exemplo com DI1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Barreto</dc:creator>
  <cp:lastModifiedBy>Eric Barreto</cp:lastModifiedBy>
  <dcterms:created xsi:type="dcterms:W3CDTF">2018-07-20T19:57:04Z</dcterms:created>
  <dcterms:modified xsi:type="dcterms:W3CDTF">2018-09-27T02:04:09Z</dcterms:modified>
</cp:coreProperties>
</file>